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22020" windowHeight="7968"/>
  </bookViews>
  <sheets>
    <sheet name="GMEEB" sheetId="2" r:id="rId1"/>
  </sheets>
  <calcPr calcId="145621"/>
</workbook>
</file>

<file path=xl/calcChain.xml><?xml version="1.0" encoding="utf-8"?>
<calcChain xmlns="http://schemas.openxmlformats.org/spreadsheetml/2006/main">
  <c r="Q9" i="2" l="1"/>
  <c r="Q10" i="2"/>
  <c r="P12" i="2"/>
  <c r="O12" i="2"/>
  <c r="J26" i="2"/>
  <c r="I55" i="2"/>
  <c r="J53" i="2" s="1"/>
  <c r="I52" i="2"/>
  <c r="I51" i="2"/>
  <c r="H43" i="2"/>
  <c r="I43" i="2" s="1"/>
  <c r="H41" i="2"/>
  <c r="I41" i="2" s="1"/>
  <c r="J32" i="2"/>
  <c r="J30" i="2" s="1"/>
  <c r="J28" i="2"/>
  <c r="H19" i="2"/>
  <c r="J42" i="2" l="1"/>
  <c r="J41" i="2"/>
  <c r="J45" i="2"/>
  <c r="J44" i="2"/>
  <c r="J34" i="2"/>
  <c r="J36" i="2" s="1"/>
  <c r="J10" i="2"/>
  <c r="J9" i="2"/>
  <c r="I10" i="2"/>
  <c r="I9" i="2"/>
  <c r="I11" i="2" l="1"/>
  <c r="J11" i="2"/>
  <c r="D8" i="2"/>
  <c r="K10" i="2" l="1"/>
  <c r="H10" i="2" s="1"/>
  <c r="K9" i="2"/>
  <c r="M9" i="2" s="1"/>
  <c r="L9" i="2" s="1"/>
  <c r="G9" i="2" l="1"/>
  <c r="O9" i="2" s="1"/>
  <c r="P9" i="2" s="1"/>
  <c r="H9" i="2"/>
  <c r="H11" i="2" s="1"/>
  <c r="H12" i="2" s="1"/>
  <c r="K11" i="2"/>
  <c r="M10" i="2"/>
  <c r="M11" i="2" l="1"/>
  <c r="M12" i="2" s="1"/>
  <c r="L10" i="2"/>
  <c r="G10" i="2"/>
  <c r="K12" i="2"/>
  <c r="P10" i="2" l="1"/>
  <c r="P11" i="2" s="1"/>
  <c r="O10" i="2"/>
  <c r="L11" i="2"/>
  <c r="O11" i="2" l="1"/>
  <c r="L12" i="2"/>
  <c r="G11" i="2"/>
  <c r="G12" i="2" s="1"/>
</calcChain>
</file>

<file path=xl/comments1.xml><?xml version="1.0" encoding="utf-8"?>
<comments xmlns="http://schemas.openxmlformats.org/spreadsheetml/2006/main">
  <authors>
    <author>DfRSoft</author>
  </authors>
  <commentList>
    <comment ref="I27" authorId="0">
      <text>
        <r>
          <rPr>
            <b/>
            <sz val="9"/>
            <color indexed="81"/>
            <rFont val="Tahoma"/>
            <family val="2"/>
          </rPr>
          <t>A good starting point is 1950 Average level of CO2 of 300 PPM and average temperature of 57F or 13.9C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8" authorId="0">
      <text>
        <r>
          <rPr>
            <b/>
            <sz val="9"/>
            <color indexed="81"/>
            <rFont val="Tahoma"/>
            <family val="2"/>
          </rPr>
          <t>A good starting point is 1950 Average level of CO2 of 300 PPM and average temperature of 57F or 13.9C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This is the Temperature of the Earth without any Green House Effect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2019 Levels of CO2 are about 385 PPM</t>
        </r>
      </text>
    </comment>
    <comment ref="I30" authorId="0">
      <text>
        <r>
          <rPr>
            <sz val="14"/>
            <color indexed="81"/>
            <rFont val="Tahoma"/>
            <family val="2"/>
          </rPr>
          <t>Example:
If the model you use says when CO2 doubles the temperature will rise 2.3C then enter 2.3</t>
        </r>
      </text>
    </comment>
    <comment ref="F53" authorId="0">
      <text>
        <r>
          <rPr>
            <b/>
            <sz val="9"/>
            <color indexed="81"/>
            <rFont val="Tahoma"/>
            <family val="2"/>
          </rPr>
          <t>DfRSoft:
T0 &gt; T  (0-200C)
Let T0=24.7C
T=25C
Then Latent Heat is 2.44E6 J/kg at 24.7C, and the Relative Humidity is 98.2%
If T increases to 60C, then the Relative humidity decreases to 15.3%
A decrease in %RH indicates the warmer 60C air can hold more water vapor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<sst xmlns="http://schemas.openxmlformats.org/spreadsheetml/2006/main" count="127" uniqueCount="98">
  <si>
    <t>Sigma</t>
  </si>
  <si>
    <t>Alpha 1950</t>
  </si>
  <si>
    <t>Power</t>
  </si>
  <si>
    <t>1361/4(1-albedo)</t>
  </si>
  <si>
    <t>Power Absorbed</t>
  </si>
  <si>
    <t>Temperature</t>
  </si>
  <si>
    <t>Albedo (K)</t>
  </si>
  <si>
    <t>Re-radiated</t>
  </si>
  <si>
    <t>f1=0.6181</t>
  </si>
  <si>
    <t>(1+f1) Pow Abs</t>
  </si>
  <si>
    <t>Pow Abs</t>
  </si>
  <si>
    <t>W/m^2</t>
  </si>
  <si>
    <t>(K)</t>
  </si>
  <si>
    <t>GHG (W/m^2)</t>
  </si>
  <si>
    <t>(F)</t>
  </si>
  <si>
    <t>So/4</t>
  </si>
  <si>
    <t>Key Deltas</t>
  </si>
  <si>
    <t>Feedback</t>
  </si>
  <si>
    <t>-</t>
  </si>
  <si>
    <t>GHG Power</t>
  </si>
  <si>
    <t xml:space="preserve"> (W/m^2)</t>
  </si>
  <si>
    <t>Surface</t>
  </si>
  <si>
    <t>Temp</t>
  </si>
  <si>
    <t>Year</t>
  </si>
  <si>
    <t>f</t>
  </si>
  <si>
    <t>(C)</t>
  </si>
  <si>
    <t>f2019</t>
  </si>
  <si>
    <t>f1950</t>
  </si>
  <si>
    <t>Alpha 2019</t>
  </si>
  <si>
    <t>ENTER VALUE</t>
  </si>
  <si>
    <t>f 1950</t>
  </si>
  <si>
    <t>f 2019</t>
  </si>
  <si>
    <t>Quantity</t>
  </si>
  <si>
    <t>Re-radiation</t>
  </si>
  <si>
    <t>Solar in</t>
  </si>
  <si>
    <t>Feedback fac.</t>
  </si>
  <si>
    <t>Symbol</t>
  </si>
  <si>
    <t>s</t>
  </si>
  <si>
    <r>
      <rPr>
        <b/>
        <sz val="12"/>
        <color theme="1"/>
        <rFont val="Symbol"/>
        <family val="1"/>
        <charset val="2"/>
      </rPr>
      <t xml:space="preserve">a </t>
    </r>
    <r>
      <rPr>
        <b/>
        <sz val="12"/>
        <color theme="1"/>
        <rFont val="Calibri"/>
        <family val="2"/>
        <scheme val="minor"/>
      </rPr>
      <t>1950</t>
    </r>
  </si>
  <si>
    <r>
      <rPr>
        <b/>
        <sz val="12"/>
        <color theme="1"/>
        <rFont val="Symbol"/>
        <family val="1"/>
        <charset val="2"/>
      </rPr>
      <t>a</t>
    </r>
    <r>
      <rPr>
        <b/>
        <sz val="12"/>
        <color theme="1"/>
        <rFont val="Calibri"/>
        <family val="2"/>
        <scheme val="minor"/>
      </rPr>
      <t xml:space="preserve"> 2019</t>
    </r>
  </si>
  <si>
    <t>Af</t>
  </si>
  <si>
    <t>------------&gt;&gt;&gt;&gt;&gt;&gt;&gt;&gt;&gt;</t>
  </si>
  <si>
    <t>Results from Entrered Values</t>
  </si>
  <si>
    <t>results is provided in Columns F-P</t>
  </si>
  <si>
    <r>
      <rPr>
        <b/>
        <sz val="11"/>
        <color theme="1"/>
        <rFont val="Calibri"/>
        <family val="2"/>
        <scheme val="minor"/>
      </rPr>
      <t xml:space="preserve">Instructons: </t>
    </r>
    <r>
      <rPr>
        <sz val="11"/>
        <color theme="1"/>
        <rFont val="Calibri"/>
        <family val="2"/>
        <scheme val="minor"/>
      </rPr>
      <t>Enter values in Column D green squares</t>
    </r>
  </si>
  <si>
    <t>P (W/m^2)</t>
  </si>
  <si>
    <t>Emissivity f</t>
  </si>
  <si>
    <t>Enter Value</t>
  </si>
  <si>
    <t>Stefan–Boltzmann Equation P=f Sigma T^4</t>
  </si>
  <si>
    <r>
      <t>T(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>C)</t>
    </r>
  </si>
  <si>
    <t>Enter</t>
  </si>
  <si>
    <t>ENTER</t>
  </si>
  <si>
    <t>Suggested</t>
  </si>
  <si>
    <t>RESULTS</t>
  </si>
  <si>
    <t>Model Parameters</t>
  </si>
  <si>
    <t>Value</t>
  </si>
  <si>
    <t>Values</t>
  </si>
  <si>
    <t>300 PPM</t>
  </si>
  <si>
    <t>385 PPM</t>
  </si>
  <si>
    <t>Initial CO2 Level (PPM)</t>
  </si>
  <si>
    <t>Final CO2 Level (PPM)</t>
  </si>
  <si>
    <t>Initial Temp. (F)</t>
  </si>
  <si>
    <t>Temp Rise (F)</t>
  </si>
  <si>
    <t>Final Temp (F)</t>
  </si>
  <si>
    <t>Temp Rise (C)</t>
  </si>
  <si>
    <t>Initial Temp (C)</t>
  </si>
  <si>
    <t>Doubling Temp (C)</t>
  </si>
  <si>
    <t>TEMP RISE DUE TO CO2 INCREASE (CO2 DOUBLING THEORY)</t>
  </si>
  <si>
    <t>Surface &amp; Albedo</t>
  </si>
  <si>
    <t>Watts Absorbed</t>
  </si>
  <si>
    <t>Watts/m2</t>
  </si>
  <si>
    <t>Enter Sunlight (W/M2)</t>
  </si>
  <si>
    <t>Surface 1</t>
  </si>
  <si>
    <t>Area 1 (M2)</t>
  </si>
  <si>
    <t>Albedo 1 (Index &lt;1)</t>
  </si>
  <si>
    <t>Surface 2</t>
  </si>
  <si>
    <t>Area 2  (M2)</t>
  </si>
  <si>
    <t>Albedo 2  (Index &lt;1)</t>
  </si>
  <si>
    <t>CLASIUS CLAPEYON RELATIVE HUMIDITY RELATION</t>
  </si>
  <si>
    <t>Default</t>
  </si>
  <si>
    <t>Deg F</t>
  </si>
  <si>
    <t xml:space="preserve">Relative </t>
  </si>
  <si>
    <t>T0&lt;T (0-200C)</t>
  </si>
  <si>
    <t>Humidity</t>
  </si>
  <si>
    <t>T (Deg C)</t>
  </si>
  <si>
    <t>T&gt;T0 (0-200C)</t>
  </si>
  <si>
    <t>(% Unitless)</t>
  </si>
  <si>
    <t>Example</t>
  </si>
  <si>
    <t xml:space="preserve">Latent Heat of </t>
  </si>
  <si>
    <t>Evap. J/kG at T0</t>
  </si>
  <si>
    <t xml:space="preserve">Temp </t>
  </si>
  <si>
    <t>T0 (Deg C)</t>
  </si>
  <si>
    <t>Temp. Change</t>
  </si>
  <si>
    <t>Due to CO2 of</t>
  </si>
  <si>
    <t>Final Temp (C)</t>
  </si>
  <si>
    <t xml:space="preserve">   SURFACE TEMP ESTIMATE USING BLACK BODY RADIATION FORMULA</t>
  </si>
  <si>
    <t xml:space="preserve">               DfRSoft Research Global Warming Solar Geoengineering Physics Calculators</t>
  </si>
  <si>
    <t>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</si>
</sst>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"/>
    <numFmt numFmtId="166" formatCode="0.000%"/>
    <numFmt numFmtId="167" formatCode="0.000000%"/>
    <numFmt numFmtId="168" formatCode="0.000E+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Symbol"/>
      <family val="1"/>
      <charset val="2"/>
    </font>
    <font>
      <b/>
      <sz val="15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0"/>
      <name val="Arial Black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indexed="81"/>
      <name val="Tahoma"/>
      <family val="2"/>
    </font>
    <font>
      <b/>
      <sz val="12"/>
      <color theme="3"/>
      <name val="Calibri"/>
      <family val="2"/>
      <scheme val="minor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4"/>
      <color theme="3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48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9" fillId="0" borderId="27" applyNumberFormat="0" applyFill="0" applyAlignment="0" applyProtection="0"/>
    <xf numFmtId="0" fontId="10" fillId="8" borderId="0" applyNumberFormat="0" applyBorder="0" applyAlignment="0" applyProtection="0"/>
    <xf numFmtId="0" fontId="1" fillId="9" borderId="28" applyNumberFormat="0" applyFont="0" applyAlignment="0" applyProtection="0"/>
    <xf numFmtId="0" fontId="1" fillId="10" borderId="0" applyNumberFormat="0" applyBorder="0" applyAlignment="0" applyProtection="0"/>
    <xf numFmtId="0" fontId="11" fillId="11" borderId="0" applyNumberFormat="0" applyBorder="0" applyAlignment="0" applyProtection="0"/>
    <xf numFmtId="0" fontId="14" fillId="14" borderId="29" applyBorder="0">
      <alignment horizontal="center" vertical="center"/>
      <protection hidden="1"/>
    </xf>
    <xf numFmtId="0" fontId="15" fillId="2" borderId="0" applyBorder="0">
      <alignment horizontal="center" vertical="center"/>
      <protection hidden="1"/>
    </xf>
    <xf numFmtId="0" fontId="18" fillId="15" borderId="8" applyBorder="0">
      <alignment horizontal="center" vertical="center"/>
      <protection locked="0"/>
    </xf>
    <xf numFmtId="0" fontId="15" fillId="0" borderId="1" applyBorder="0">
      <alignment horizontal="left" vertical="center"/>
      <protection hidden="1"/>
    </xf>
    <xf numFmtId="0" fontId="15" fillId="17" borderId="8" applyBorder="0">
      <alignment horizontal="center" vertical="center"/>
      <protection hidden="1"/>
    </xf>
    <xf numFmtId="167" fontId="19" fillId="16" borderId="0" applyBorder="0">
      <alignment horizontal="center" vertical="center"/>
      <protection hidden="1"/>
    </xf>
    <xf numFmtId="0" fontId="15" fillId="18" borderId="0">
      <alignment horizontal="left" vertical="center"/>
      <protection hidden="1"/>
    </xf>
    <xf numFmtId="0" fontId="19" fillId="19" borderId="9" applyBorder="0">
      <alignment horizontal="center" vertical="center"/>
      <protection hidden="1"/>
    </xf>
    <xf numFmtId="0" fontId="14" fillId="19" borderId="33" applyBorder="0">
      <alignment horizontal="center" vertical="center"/>
      <protection hidden="1"/>
    </xf>
    <xf numFmtId="0" fontId="19" fillId="19" borderId="9" applyBorder="0">
      <alignment horizontal="center" vertical="center"/>
      <protection hidden="1"/>
    </xf>
    <xf numFmtId="0" fontId="19" fillId="20" borderId="9" applyBorder="0">
      <alignment horizontal="center" vertical="center"/>
      <protection hidden="1"/>
    </xf>
    <xf numFmtId="0" fontId="24" fillId="21" borderId="19" applyBorder="0" applyProtection="0">
      <protection hidden="1"/>
    </xf>
    <xf numFmtId="0" fontId="19" fillId="16" borderId="10">
      <alignment horizontal="left" vertical="center"/>
      <protection hidden="1"/>
    </xf>
  </cellStyleXfs>
  <cellXfs count="17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165" fontId="3" fillId="6" borderId="21" xfId="0" applyNumberFormat="1" applyFont="1" applyFill="1" applyBorder="1" applyAlignment="1">
      <alignment horizontal="center"/>
    </xf>
    <xf numFmtId="164" fontId="3" fillId="6" borderId="10" xfId="0" applyNumberFormat="1" applyFont="1" applyFill="1" applyBorder="1" applyAlignment="1">
      <alignment horizontal="center"/>
    </xf>
    <xf numFmtId="164" fontId="3" fillId="6" borderId="21" xfId="0" applyNumberFormat="1" applyFont="1" applyFill="1" applyBorder="1" applyAlignment="1">
      <alignment horizontal="center"/>
    </xf>
    <xf numFmtId="164" fontId="3" fillId="6" borderId="14" xfId="0" applyNumberFormat="1" applyFont="1" applyFill="1" applyBorder="1" applyAlignment="1">
      <alignment horizontal="center"/>
    </xf>
    <xf numFmtId="164" fontId="3" fillId="6" borderId="16" xfId="0" applyNumberFormat="1" applyFont="1" applyFill="1" applyBorder="1" applyAlignment="1">
      <alignment horizontal="center"/>
    </xf>
    <xf numFmtId="0" fontId="4" fillId="7" borderId="10" xfId="1" applyNumberFormat="1" applyFont="1" applyFill="1" applyBorder="1" applyAlignment="1">
      <alignment horizontal="center"/>
    </xf>
    <xf numFmtId="166" fontId="4" fillId="7" borderId="10" xfId="1" applyNumberFormat="1" applyFont="1" applyFill="1" applyBorder="1" applyAlignment="1">
      <alignment horizontal="center"/>
    </xf>
    <xf numFmtId="2" fontId="4" fillId="7" borderId="16" xfId="0" applyNumberFormat="1" applyFont="1" applyFill="1" applyBorder="1" applyAlignment="1">
      <alignment horizontal="center"/>
    </xf>
    <xf numFmtId="0" fontId="4" fillId="5" borderId="22" xfId="0" quotePrefix="1" applyFont="1" applyFill="1" applyBorder="1" applyAlignment="1">
      <alignment horizontal="center"/>
    </xf>
    <xf numFmtId="2" fontId="5" fillId="5" borderId="18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2" fontId="3" fillId="6" borderId="10" xfId="0" applyNumberFormat="1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165" fontId="4" fillId="7" borderId="10" xfId="0" applyNumberFormat="1" applyFont="1" applyFill="1" applyBorder="1" applyAlignment="1">
      <alignment horizontal="center"/>
    </xf>
    <xf numFmtId="164" fontId="4" fillId="7" borderId="10" xfId="0" applyNumberFormat="1" applyFont="1" applyFill="1" applyBorder="1" applyAlignment="1">
      <alignment horizontal="center"/>
    </xf>
    <xf numFmtId="2" fontId="4" fillId="7" borderId="10" xfId="0" applyNumberFormat="1" applyFont="1" applyFill="1" applyBorder="1" applyAlignment="1">
      <alignment horizontal="center"/>
    </xf>
    <xf numFmtId="165" fontId="3" fillId="6" borderId="13" xfId="0" applyNumberFormat="1" applyFont="1" applyFill="1" applyBorder="1" applyAlignment="1">
      <alignment horizontal="center"/>
    </xf>
    <xf numFmtId="2" fontId="3" fillId="6" borderId="21" xfId="0" applyNumberFormat="1" applyFont="1" applyFill="1" applyBorder="1" applyAlignment="1">
      <alignment horizontal="center"/>
    </xf>
    <xf numFmtId="165" fontId="3" fillId="6" borderId="15" xfId="0" applyNumberFormat="1" applyFont="1" applyFill="1" applyBorder="1" applyAlignment="1">
      <alignment horizontal="center"/>
    </xf>
    <xf numFmtId="165" fontId="4" fillId="7" borderId="15" xfId="0" applyNumberFormat="1" applyFont="1" applyFill="1" applyBorder="1" applyAlignment="1">
      <alignment horizontal="center"/>
    </xf>
    <xf numFmtId="165" fontId="5" fillId="5" borderId="17" xfId="0" applyNumberFormat="1" applyFont="1" applyFill="1" applyBorder="1" applyAlignment="1">
      <alignment horizontal="center"/>
    </xf>
    <xf numFmtId="165" fontId="4" fillId="5" borderId="22" xfId="0" quotePrefix="1" applyNumberFormat="1" applyFont="1" applyFill="1" applyBorder="1" applyAlignment="1">
      <alignment horizontal="center"/>
    </xf>
    <xf numFmtId="164" fontId="4" fillId="5" borderId="22" xfId="0" applyNumberFormat="1" applyFont="1" applyFill="1" applyBorder="1" applyAlignment="1">
      <alignment horizontal="center"/>
    </xf>
    <xf numFmtId="2" fontId="4" fillId="5" borderId="22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3" borderId="11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2" fillId="2" borderId="6" xfId="0" applyFont="1" applyFill="1" applyBorder="1"/>
    <xf numFmtId="0" fontId="0" fillId="2" borderId="7" xfId="0" applyFill="1" applyBorder="1"/>
    <xf numFmtId="0" fontId="0" fillId="2" borderId="1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0" fillId="8" borderId="2" xfId="3" applyBorder="1"/>
    <xf numFmtId="0" fontId="10" fillId="8" borderId="3" xfId="3" applyBorder="1"/>
    <xf numFmtId="0" fontId="12" fillId="12" borderId="10" xfId="6" applyFont="1" applyFill="1" applyBorder="1" applyAlignment="1">
      <alignment horizontal="center"/>
    </xf>
    <xf numFmtId="0" fontId="12" fillId="12" borderId="15" xfId="6" applyFont="1" applyFill="1" applyBorder="1" applyAlignment="1">
      <alignment horizontal="center"/>
    </xf>
    <xf numFmtId="0" fontId="12" fillId="12" borderId="16" xfId="6" applyFont="1" applyFill="1" applyBorder="1" applyAlignment="1">
      <alignment horizontal="center"/>
    </xf>
    <xf numFmtId="0" fontId="14" fillId="14" borderId="8" xfId="7" applyBorder="1">
      <alignment horizontal="center" vertical="center"/>
      <protection hidden="1"/>
    </xf>
    <xf numFmtId="0" fontId="14" fillId="14" borderId="23" xfId="7" applyBorder="1">
      <alignment horizontal="center" vertical="center"/>
      <protection hidden="1"/>
    </xf>
    <xf numFmtId="0" fontId="14" fillId="14" borderId="9" xfId="7" applyBorder="1">
      <alignment horizontal="center" vertical="center"/>
      <protection hidden="1"/>
    </xf>
    <xf numFmtId="0" fontId="15" fillId="2" borderId="9" xfId="8" applyBorder="1">
      <alignment horizontal="center" vertical="center"/>
      <protection hidden="1"/>
    </xf>
    <xf numFmtId="0" fontId="0" fillId="0" borderId="9" xfId="0" applyBorder="1"/>
    <xf numFmtId="0" fontId="18" fillId="15" borderId="9" xfId="9" applyFont="1" applyBorder="1">
      <alignment horizontal="center" vertical="center"/>
      <protection locked="0"/>
    </xf>
    <xf numFmtId="0" fontId="15" fillId="0" borderId="3" xfId="10" applyBorder="1">
      <alignment horizontal="left" vertical="center"/>
      <protection hidden="1"/>
    </xf>
    <xf numFmtId="0" fontId="18" fillId="15" borderId="2" xfId="9" applyBorder="1">
      <alignment horizontal="center" vertical="center"/>
      <protection locked="0"/>
    </xf>
    <xf numFmtId="0" fontId="15" fillId="2" borderId="8" xfId="8" applyBorder="1">
      <alignment horizontal="center" vertical="center"/>
      <protection hidden="1"/>
    </xf>
    <xf numFmtId="0" fontId="15" fillId="0" borderId="23" xfId="10" applyBorder="1">
      <alignment horizontal="left" vertical="center"/>
      <protection hidden="1"/>
    </xf>
    <xf numFmtId="0" fontId="18" fillId="15" borderId="0" xfId="9" applyBorder="1">
      <alignment horizontal="center" vertical="center"/>
      <protection locked="0"/>
    </xf>
    <xf numFmtId="3" fontId="0" fillId="16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30" xfId="0" applyBorder="1"/>
    <xf numFmtId="0" fontId="15" fillId="0" borderId="31" xfId="10" applyBorder="1">
      <alignment horizontal="left" vertical="center"/>
      <protection hidden="1"/>
    </xf>
    <xf numFmtId="0" fontId="18" fillId="15" borderId="32" xfId="9" applyBorder="1">
      <alignment horizontal="center" vertical="center"/>
      <protection locked="0"/>
    </xf>
    <xf numFmtId="4" fontId="0" fillId="16" borderId="5" xfId="1" applyNumberFormat="1" applyFont="1" applyFill="1" applyBorder="1" applyAlignment="1" applyProtection="1">
      <alignment horizontal="center" vertical="center"/>
      <protection hidden="1"/>
    </xf>
    <xf numFmtId="2" fontId="15" fillId="16" borderId="9" xfId="11" applyNumberFormat="1" applyFill="1" applyBorder="1">
      <alignment horizontal="center" vertical="center"/>
      <protection hidden="1"/>
    </xf>
    <xf numFmtId="0" fontId="1" fillId="0" borderId="0" xfId="4" applyFill="1" applyBorder="1" applyProtection="1">
      <protection hidden="1"/>
    </xf>
    <xf numFmtId="0" fontId="18" fillId="0" borderId="0" xfId="9" applyFill="1" applyBorder="1">
      <alignment horizontal="center" vertical="center"/>
      <protection locked="0"/>
    </xf>
    <xf numFmtId="3" fontId="0" fillId="0" borderId="0" xfId="1" applyNumberFormat="1" applyFont="1" applyFill="1" applyBorder="1" applyAlignment="1" applyProtection="1">
      <alignment horizontal="center" vertical="center"/>
      <protection hidden="1"/>
    </xf>
    <xf numFmtId="0" fontId="15" fillId="0" borderId="0" xfId="10" applyBorder="1">
      <alignment horizontal="left" vertical="center"/>
      <protection hidden="1"/>
    </xf>
    <xf numFmtId="10" fontId="19" fillId="0" borderId="0" xfId="12" applyNumberFormat="1" applyFill="1" applyBorder="1" applyAlignment="1">
      <alignment horizontal="center" vertical="center"/>
      <protection hidden="1"/>
    </xf>
    <xf numFmtId="0" fontId="15" fillId="0" borderId="0" xfId="10" applyFill="1" applyBorder="1">
      <alignment horizontal="left" vertical="center"/>
      <protection hidden="1"/>
    </xf>
    <xf numFmtId="0" fontId="0" fillId="0" borderId="0" xfId="0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7" fillId="0" borderId="23" xfId="0" applyFont="1" applyBorder="1" applyAlignment="1" applyProtection="1">
      <alignment horizontal="center"/>
      <protection hidden="1"/>
    </xf>
    <xf numFmtId="0" fontId="2" fillId="16" borderId="9" xfId="0" applyNumberFormat="1" applyFont="1" applyFill="1" applyBorder="1" applyAlignment="1">
      <alignment horizontal="center"/>
    </xf>
    <xf numFmtId="2" fontId="2" fillId="16" borderId="30" xfId="0" applyNumberFormat="1" applyFont="1" applyFill="1" applyBorder="1" applyAlignment="1">
      <alignment horizontal="center"/>
    </xf>
    <xf numFmtId="0" fontId="12" fillId="8" borderId="1" xfId="3" applyFont="1" applyBorder="1"/>
    <xf numFmtId="0" fontId="15" fillId="18" borderId="8" xfId="13" applyBorder="1" applyAlignment="1">
      <alignment horizontal="center" vertical="center"/>
      <protection hidden="1"/>
    </xf>
    <xf numFmtId="0" fontId="15" fillId="18" borderId="1" xfId="13" applyBorder="1" applyAlignment="1">
      <alignment horizontal="center" vertical="center"/>
      <protection hidden="1"/>
    </xf>
    <xf numFmtId="0" fontId="15" fillId="18" borderId="3" xfId="13" applyBorder="1" applyAlignment="1">
      <alignment horizontal="center" vertical="center"/>
      <protection hidden="1"/>
    </xf>
    <xf numFmtId="0" fontId="15" fillId="19" borderId="9" xfId="14" applyFont="1" applyBorder="1">
      <alignment horizontal="center" vertical="center"/>
      <protection hidden="1"/>
    </xf>
    <xf numFmtId="0" fontId="18" fillId="15" borderId="9" xfId="9" applyBorder="1">
      <alignment horizontal="center" vertical="center"/>
      <protection locked="0"/>
    </xf>
    <xf numFmtId="0" fontId="14" fillId="19" borderId="4" xfId="15" applyBorder="1">
      <alignment horizontal="center" vertical="center"/>
      <protection hidden="1"/>
    </xf>
    <xf numFmtId="0" fontId="14" fillId="19" borderId="9" xfId="15" applyBorder="1">
      <alignment horizontal="center" vertical="center"/>
      <protection hidden="1"/>
    </xf>
    <xf numFmtId="0" fontId="14" fillId="19" borderId="23" xfId="15" applyBorder="1">
      <alignment horizontal="center" vertical="center"/>
      <protection hidden="1"/>
    </xf>
    <xf numFmtId="0" fontId="19" fillId="19" borderId="4" xfId="16" applyBorder="1">
      <alignment horizontal="center" vertical="center"/>
      <protection hidden="1"/>
    </xf>
    <xf numFmtId="0" fontId="19" fillId="19" borderId="9" xfId="16" applyBorder="1">
      <alignment horizontal="center" vertical="center"/>
      <protection hidden="1"/>
    </xf>
    <xf numFmtId="0" fontId="19" fillId="19" borderId="23" xfId="16" applyBorder="1">
      <alignment horizontal="center" vertical="center"/>
      <protection hidden="1"/>
    </xf>
    <xf numFmtId="0" fontId="15" fillId="19" borderId="30" xfId="14" applyFont="1" applyBorder="1">
      <alignment horizontal="center" vertical="center"/>
      <protection hidden="1"/>
    </xf>
    <xf numFmtId="0" fontId="18" fillId="15" borderId="30" xfId="9" applyBorder="1">
      <alignment horizontal="center" vertical="center"/>
      <protection locked="0"/>
    </xf>
    <xf numFmtId="0" fontId="14" fillId="19" borderId="5" xfId="15" applyBorder="1">
      <alignment horizontal="center" vertical="center"/>
      <protection hidden="1"/>
    </xf>
    <xf numFmtId="0" fontId="14" fillId="19" borderId="30" xfId="15" applyBorder="1">
      <alignment horizontal="center" vertical="center"/>
      <protection hidden="1"/>
    </xf>
    <xf numFmtId="0" fontId="19" fillId="19" borderId="30" xfId="16" applyBorder="1">
      <alignment horizontal="center" vertical="center"/>
      <protection hidden="1"/>
    </xf>
    <xf numFmtId="0" fontId="14" fillId="14" borderId="3" xfId="7" applyBorder="1">
      <alignment horizontal="center" vertical="center"/>
      <protection hidden="1"/>
    </xf>
    <xf numFmtId="0" fontId="14" fillId="14" borderId="34" xfId="7" applyBorder="1">
      <alignment horizontal="center" vertical="center"/>
      <protection hidden="1"/>
    </xf>
    <xf numFmtId="0" fontId="15" fillId="2" borderId="35" xfId="8" applyBorder="1">
      <alignment horizontal="center" vertical="center"/>
      <protection hidden="1"/>
    </xf>
    <xf numFmtId="0" fontId="16" fillId="0" borderId="30" xfId="0" applyFont="1" applyBorder="1" applyProtection="1">
      <protection hidden="1"/>
    </xf>
    <xf numFmtId="0" fontId="17" fillId="0" borderId="30" xfId="0" applyFont="1" applyBorder="1" applyAlignment="1" applyProtection="1">
      <alignment horizontal="center"/>
      <protection hidden="1"/>
    </xf>
    <xf numFmtId="0" fontId="16" fillId="0" borderId="31" xfId="0" applyFont="1" applyBorder="1" applyAlignment="1" applyProtection="1">
      <alignment horizontal="center"/>
      <protection hidden="1"/>
    </xf>
    <xf numFmtId="0" fontId="15" fillId="2" borderId="3" xfId="8" applyBorder="1">
      <alignment horizontal="center" vertical="center"/>
      <protection hidden="1"/>
    </xf>
    <xf numFmtId="0" fontId="15" fillId="0" borderId="4" xfId="10" applyBorder="1">
      <alignment horizontal="left" vertical="center"/>
      <protection hidden="1"/>
    </xf>
    <xf numFmtId="0" fontId="19" fillId="20" borderId="8" xfId="17" applyBorder="1">
      <alignment horizontal="center" vertical="center"/>
      <protection hidden="1"/>
    </xf>
    <xf numFmtId="0" fontId="19" fillId="20" borderId="3" xfId="17" applyBorder="1">
      <alignment horizontal="center" vertical="center"/>
      <protection hidden="1"/>
    </xf>
    <xf numFmtId="0" fontId="15" fillId="2" borderId="23" xfId="8" applyBorder="1">
      <alignment horizontal="center" vertical="center"/>
      <protection hidden="1"/>
    </xf>
    <xf numFmtId="0" fontId="15" fillId="0" borderId="5" xfId="10" applyBorder="1">
      <alignment horizontal="left" vertical="center"/>
      <protection hidden="1"/>
    </xf>
    <xf numFmtId="0" fontId="19" fillId="20" borderId="30" xfId="17" applyBorder="1">
      <alignment horizontal="center" vertical="center"/>
      <protection hidden="1"/>
    </xf>
    <xf numFmtId="0" fontId="19" fillId="20" borderId="31" xfId="17" applyBorder="1">
      <alignment horizontal="center" vertical="center"/>
      <protection hidden="1"/>
    </xf>
    <xf numFmtId="0" fontId="25" fillId="21" borderId="4" xfId="18" applyFont="1" applyBorder="1">
      <protection hidden="1"/>
    </xf>
    <xf numFmtId="0" fontId="18" fillId="16" borderId="7" xfId="19" applyFont="1" applyBorder="1" applyAlignment="1">
      <alignment horizontal="center" vertical="center"/>
      <protection hidden="1"/>
    </xf>
    <xf numFmtId="0" fontId="19" fillId="20" borderId="0" xfId="17" applyBorder="1">
      <alignment horizontal="center" vertical="center"/>
      <protection hidden="1"/>
    </xf>
    <xf numFmtId="168" fontId="18" fillId="0" borderId="30" xfId="9" applyNumberFormat="1" applyFill="1" applyBorder="1">
      <alignment horizontal="center" vertical="center"/>
      <protection locked="0"/>
    </xf>
    <xf numFmtId="0" fontId="27" fillId="2" borderId="8" xfId="10" applyFont="1" applyFill="1" applyBorder="1" applyAlignment="1">
      <alignment horizontal="center" vertical="center"/>
      <protection hidden="1"/>
    </xf>
    <xf numFmtId="0" fontId="28" fillId="0" borderId="9" xfId="0" applyFont="1" applyBorder="1" applyAlignment="1">
      <alignment horizontal="center"/>
    </xf>
    <xf numFmtId="0" fontId="12" fillId="9" borderId="36" xfId="4" applyFont="1" applyBorder="1" applyAlignment="1">
      <alignment horizontal="center"/>
    </xf>
    <xf numFmtId="0" fontId="12" fillId="9" borderId="26" xfId="4" applyFont="1" applyBorder="1" applyAlignment="1">
      <alignment horizontal="center"/>
    </xf>
    <xf numFmtId="165" fontId="2" fillId="10" borderId="37" xfId="5" applyNumberFormat="1" applyFont="1" applyBorder="1" applyAlignment="1">
      <alignment horizontal="center"/>
    </xf>
    <xf numFmtId="0" fontId="2" fillId="0" borderId="38" xfId="0" applyFont="1" applyBorder="1"/>
    <xf numFmtId="0" fontId="18" fillId="15" borderId="10" xfId="9" applyFont="1" applyBorder="1">
      <alignment horizontal="center" vertical="center"/>
      <protection locked="0"/>
    </xf>
    <xf numFmtId="0" fontId="18" fillId="15" borderId="22" xfId="9" applyFont="1" applyBorder="1">
      <alignment horizontal="center" vertical="center"/>
      <protection locked="0"/>
    </xf>
    <xf numFmtId="0" fontId="29" fillId="2" borderId="6" xfId="0" applyFont="1" applyFill="1" applyBorder="1" applyAlignment="1">
      <alignment horizontal="center"/>
    </xf>
    <xf numFmtId="0" fontId="15" fillId="17" borderId="0" xfId="11" applyBorder="1">
      <alignment horizontal="center" vertical="center"/>
      <protection hidden="1"/>
    </xf>
    <xf numFmtId="0" fontId="17" fillId="0" borderId="4" xfId="0" applyFont="1" applyBorder="1" applyAlignment="1" applyProtection="1">
      <alignment horizontal="center"/>
      <protection hidden="1"/>
    </xf>
    <xf numFmtId="0" fontId="0" fillId="0" borderId="5" xfId="0" applyBorder="1"/>
    <xf numFmtId="0" fontId="0" fillId="16" borderId="4" xfId="1" applyNumberFormat="1" applyFont="1" applyFill="1" applyBorder="1" applyAlignment="1" applyProtection="1">
      <alignment horizontal="center" vertical="center"/>
      <protection hidden="1"/>
    </xf>
    <xf numFmtId="0" fontId="14" fillId="14" borderId="4" xfId="7" applyBorder="1">
      <alignment horizontal="center" vertical="center"/>
      <protection hidden="1"/>
    </xf>
    <xf numFmtId="0" fontId="16" fillId="0" borderId="9" xfId="0" applyFont="1" applyBorder="1" applyAlignment="1" applyProtection="1">
      <alignment horizontal="center"/>
      <protection hidden="1"/>
    </xf>
    <xf numFmtId="0" fontId="23" fillId="13" borderId="19" xfId="2" applyFont="1" applyFill="1" applyBorder="1" applyAlignment="1" applyProtection="1">
      <alignment horizontal="left" vertical="center"/>
      <protection hidden="1"/>
    </xf>
    <xf numFmtId="0" fontId="23" fillId="13" borderId="6" xfId="2" applyFont="1" applyFill="1" applyBorder="1" applyAlignment="1" applyProtection="1">
      <alignment horizontal="center" vertical="center"/>
      <protection hidden="1"/>
    </xf>
    <xf numFmtId="0" fontId="26" fillId="13" borderId="6" xfId="2" applyFont="1" applyFill="1" applyBorder="1" applyAlignment="1" applyProtection="1">
      <alignment horizontal="center" vertical="center"/>
      <protection hidden="1"/>
    </xf>
    <xf numFmtId="0" fontId="9" fillId="13" borderId="6" xfId="2" applyFill="1" applyBorder="1" applyAlignment="1" applyProtection="1">
      <alignment horizontal="center" vertical="center"/>
      <protection hidden="1"/>
    </xf>
    <xf numFmtId="0" fontId="9" fillId="13" borderId="7" xfId="2" applyFill="1" applyBorder="1" applyAlignment="1" applyProtection="1">
      <alignment horizontal="center" vertical="center"/>
      <protection hidden="1"/>
    </xf>
    <xf numFmtId="0" fontId="23" fillId="13" borderId="6" xfId="2" applyFont="1" applyFill="1" applyBorder="1" applyAlignment="1" applyProtection="1">
      <alignment horizontal="left" vertical="center"/>
      <protection hidden="1"/>
    </xf>
    <xf numFmtId="0" fontId="23" fillId="13" borderId="7" xfId="2" applyFont="1" applyFill="1" applyBorder="1" applyAlignment="1" applyProtection="1">
      <alignment horizontal="center" vertical="center"/>
      <protection hidden="1"/>
    </xf>
    <xf numFmtId="0" fontId="29" fillId="2" borderId="19" xfId="0" applyFont="1" applyFill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2" fontId="2" fillId="2" borderId="16" xfId="0" applyNumberFormat="1" applyFont="1" applyFill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0" fillId="0" borderId="0" xfId="0" applyNumberFormat="1" applyBorder="1"/>
    <xf numFmtId="165" fontId="2" fillId="0" borderId="18" xfId="0" applyNumberFormat="1" applyFont="1" applyBorder="1" applyAlignment="1">
      <alignment horizontal="center"/>
    </xf>
    <xf numFmtId="0" fontId="2" fillId="3" borderId="39" xfId="0" applyFont="1" applyFill="1" applyBorder="1"/>
    <xf numFmtId="2" fontId="2" fillId="2" borderId="15" xfId="0" applyNumberFormat="1" applyFont="1" applyFill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165" fontId="2" fillId="0" borderId="17" xfId="0" applyNumberFormat="1" applyFont="1" applyBorder="1" applyAlignment="1">
      <alignment horizontal="center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30" xfId="0" applyFont="1" applyFill="1" applyBorder="1" applyAlignment="1">
      <alignment horizontal="center"/>
    </xf>
    <xf numFmtId="165" fontId="2" fillId="2" borderId="16" xfId="0" applyNumberFormat="1" applyFont="1" applyFill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32" xfId="0" quotePrefix="1" applyFont="1" applyBorder="1" applyAlignment="1">
      <alignment horizontal="center"/>
    </xf>
  </cellXfs>
  <cellStyles count="20">
    <cellStyle name="40% - Accent3" xfId="5" builtinId="39"/>
    <cellStyle name="Accent5" xfId="6" builtinId="45"/>
    <cellStyle name="ans % bl" xfId="12"/>
    <cellStyle name="ans lb brd 2 2 2" xfId="19"/>
    <cellStyle name="ans wh no bd" xfId="17"/>
    <cellStyle name="ans wh no bd 2" xfId="14"/>
    <cellStyle name="ans wh no bd 3" xfId="16"/>
    <cellStyle name="Bd Lt Just Ar 10" xfId="13"/>
    <cellStyle name="brt yel bld label" xfId="8"/>
    <cellStyle name="ctr just no bd" xfId="7"/>
    <cellStyle name="Gn NB lg F" xfId="9"/>
    <cellStyle name="Heading 1" xfId="2" builtinId="16"/>
    <cellStyle name="Neutral" xfId="3" builtinId="28"/>
    <cellStyle name="no bd ctr" xfId="15"/>
    <cellStyle name="no bdr" xfId="11"/>
    <cellStyle name="Normal" xfId="0" builtinId="0"/>
    <cellStyle name="Note" xfId="4" builtinId="10"/>
    <cellStyle name="Percent" xfId="1" builtinId="5"/>
    <cellStyle name="Video Blue" xfId="18"/>
    <cellStyle name="whit bld tx left jus" xfId="10"/>
  </cellStyles>
  <dxfs count="5">
    <dxf>
      <font>
        <b val="0"/>
        <i/>
        <strike/>
        <condense val="0"/>
        <extend val="0"/>
        <color auto="1"/>
      </font>
      <fill>
        <patternFill patternType="gray0625">
          <bgColor indexed="8"/>
        </patternFill>
      </fill>
    </dxf>
    <dxf>
      <font>
        <b val="0"/>
        <i/>
        <strike/>
        <condense val="0"/>
        <extend val="0"/>
        <color auto="1"/>
      </font>
      <fill>
        <patternFill patternType="gray0625">
          <bgColor indexed="8"/>
        </patternFill>
      </fill>
    </dxf>
    <dxf>
      <font>
        <b val="0"/>
        <i/>
        <strike/>
        <condense val="0"/>
        <extend val="0"/>
        <color auto="1"/>
      </font>
      <fill>
        <patternFill patternType="gray0625">
          <bgColor indexed="8"/>
        </patternFill>
      </fill>
    </dxf>
    <dxf>
      <font>
        <b val="0"/>
        <i/>
        <strike/>
        <condense val="0"/>
        <extend val="0"/>
        <color auto="1"/>
      </font>
      <fill>
        <patternFill patternType="solid">
          <bgColor indexed="8"/>
        </patternFill>
      </fill>
    </dxf>
    <dxf>
      <font>
        <b val="0"/>
        <i/>
        <strike/>
        <condense val="0"/>
        <extend val="0"/>
        <color auto="1"/>
      </font>
      <fill>
        <patternFill patternType="gray0625"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55"/>
  <sheetViews>
    <sheetView tabSelected="1" topLeftCell="B1" zoomScaleNormal="100" workbookViewId="0">
      <selection activeCell="J14" sqref="J14"/>
    </sheetView>
  </sheetViews>
  <sheetFormatPr defaultRowHeight="14.4" x14ac:dyDescent="0.3"/>
  <cols>
    <col min="1" max="1" width="7.21875" customWidth="1"/>
    <col min="2" max="2" width="11.77734375" customWidth="1"/>
    <col min="3" max="4" width="12.77734375" customWidth="1"/>
    <col min="5" max="5" width="20.33203125" customWidth="1"/>
    <col min="6" max="6" width="20.44140625" customWidth="1"/>
    <col min="7" max="7" width="20.6640625" customWidth="1"/>
    <col min="8" max="8" width="13.21875" customWidth="1"/>
    <col min="9" max="9" width="11.77734375" customWidth="1"/>
    <col min="10" max="10" width="15.77734375" customWidth="1"/>
    <col min="11" max="11" width="15.44140625" customWidth="1"/>
    <col min="12" max="12" width="12.6640625" customWidth="1"/>
    <col min="13" max="13" width="14.21875" customWidth="1"/>
    <col min="14" max="14" width="3.5546875" customWidth="1"/>
    <col min="15" max="15" width="10.5546875" customWidth="1"/>
    <col min="16" max="16" width="11.88671875" customWidth="1"/>
    <col min="17" max="17" width="10.33203125" customWidth="1"/>
    <col min="18" max="18" width="20.33203125" customWidth="1"/>
  </cols>
  <sheetData>
    <row r="1" spans="2:17" ht="18.600000000000001" thickBot="1" x14ac:dyDescent="0.4">
      <c r="G1" s="155" t="s">
        <v>96</v>
      </c>
      <c r="H1" s="59"/>
      <c r="I1" s="59"/>
      <c r="J1" s="59"/>
      <c r="K1" s="59"/>
      <c r="L1" s="59"/>
      <c r="M1" s="60"/>
    </row>
    <row r="2" spans="2:17" ht="15" thickBot="1" x14ac:dyDescent="0.35"/>
    <row r="3" spans="2:17" ht="18.600000000000001" thickBot="1" x14ac:dyDescent="0.4">
      <c r="B3" s="156"/>
      <c r="C3" s="157"/>
      <c r="D3" s="157"/>
      <c r="E3" s="157"/>
      <c r="F3" s="61"/>
      <c r="G3" s="62"/>
      <c r="H3" s="62"/>
      <c r="I3" s="62"/>
      <c r="J3" s="141" t="s">
        <v>42</v>
      </c>
      <c r="K3" s="63"/>
      <c r="L3" s="62"/>
      <c r="M3" s="62"/>
      <c r="N3" s="62"/>
      <c r="O3" s="62"/>
      <c r="P3" s="62"/>
      <c r="Q3" s="64"/>
    </row>
    <row r="4" spans="2:17" ht="15" thickBot="1" x14ac:dyDescent="0.35">
      <c r="B4" s="158"/>
      <c r="C4" s="4"/>
      <c r="D4" s="4"/>
      <c r="E4" s="4"/>
      <c r="F4" s="13"/>
      <c r="G4" s="14"/>
      <c r="H4" s="15"/>
      <c r="I4" s="13"/>
      <c r="J4" s="13"/>
      <c r="K4" s="7"/>
      <c r="L4" s="16"/>
      <c r="M4" s="17" t="s">
        <v>2</v>
      </c>
      <c r="N4" s="158"/>
      <c r="O4" s="163"/>
      <c r="P4" s="167"/>
      <c r="Q4" s="14"/>
    </row>
    <row r="5" spans="2:17" x14ac:dyDescent="0.3">
      <c r="B5" s="6" t="s">
        <v>32</v>
      </c>
      <c r="C5" s="31" t="s">
        <v>36</v>
      </c>
      <c r="D5" s="36" t="s">
        <v>29</v>
      </c>
      <c r="E5" s="4"/>
      <c r="F5" s="10"/>
      <c r="G5" s="8"/>
      <c r="H5" s="9"/>
      <c r="I5" s="10"/>
      <c r="J5" s="10"/>
      <c r="K5" s="11" t="s">
        <v>4</v>
      </c>
      <c r="L5" s="12"/>
      <c r="M5" s="18" t="s">
        <v>7</v>
      </c>
      <c r="N5" s="158"/>
      <c r="O5" s="54"/>
      <c r="P5" s="168"/>
      <c r="Q5" s="8"/>
    </row>
    <row r="6" spans="2:17" ht="15.6" x14ac:dyDescent="0.3">
      <c r="B6" s="32" t="s">
        <v>33</v>
      </c>
      <c r="C6" s="51" t="s">
        <v>30</v>
      </c>
      <c r="D6" s="34">
        <v>0.61799999999999999</v>
      </c>
      <c r="E6" s="171" t="s">
        <v>41</v>
      </c>
      <c r="F6" s="10"/>
      <c r="G6" s="11" t="s">
        <v>21</v>
      </c>
      <c r="H6" s="9"/>
      <c r="I6" s="10" t="s">
        <v>24</v>
      </c>
      <c r="J6" s="10"/>
      <c r="K6" s="11" t="s">
        <v>10</v>
      </c>
      <c r="L6" s="12"/>
      <c r="M6" s="18" t="s">
        <v>13</v>
      </c>
      <c r="N6" s="158"/>
      <c r="O6" s="55" t="s">
        <v>21</v>
      </c>
      <c r="P6" s="10" t="s">
        <v>21</v>
      </c>
      <c r="Q6" s="11" t="s">
        <v>97</v>
      </c>
    </row>
    <row r="7" spans="2:17" ht="15.6" x14ac:dyDescent="0.3">
      <c r="B7" s="32" t="s">
        <v>33</v>
      </c>
      <c r="C7" s="51" t="s">
        <v>31</v>
      </c>
      <c r="D7" s="34">
        <v>0.62629999999999997</v>
      </c>
      <c r="E7" s="171" t="s">
        <v>41</v>
      </c>
      <c r="F7" s="10"/>
      <c r="G7" s="11" t="s">
        <v>22</v>
      </c>
      <c r="H7" s="9" t="s">
        <v>5</v>
      </c>
      <c r="I7" s="10" t="s">
        <v>26</v>
      </c>
      <c r="J7" s="10" t="s">
        <v>28</v>
      </c>
      <c r="K7" s="11" t="s">
        <v>3</v>
      </c>
      <c r="L7" s="12" t="s">
        <v>19</v>
      </c>
      <c r="M7" s="18" t="s">
        <v>8</v>
      </c>
      <c r="N7" s="158"/>
      <c r="O7" s="55" t="s">
        <v>22</v>
      </c>
      <c r="P7" s="10" t="s">
        <v>22</v>
      </c>
      <c r="Q7" s="11"/>
    </row>
    <row r="8" spans="2:17" ht="16.2" thickBot="1" x14ac:dyDescent="0.35">
      <c r="B8" s="32" t="s">
        <v>34</v>
      </c>
      <c r="C8" s="51" t="s">
        <v>15</v>
      </c>
      <c r="D8" s="34">
        <f>1361/4</f>
        <v>340.25</v>
      </c>
      <c r="E8" s="171" t="s">
        <v>41</v>
      </c>
      <c r="F8" s="19" t="s">
        <v>23</v>
      </c>
      <c r="G8" s="11" t="s">
        <v>12</v>
      </c>
      <c r="H8" s="9" t="s">
        <v>6</v>
      </c>
      <c r="I8" s="37" t="s">
        <v>27</v>
      </c>
      <c r="J8" s="10" t="s">
        <v>1</v>
      </c>
      <c r="K8" s="11" t="s">
        <v>11</v>
      </c>
      <c r="L8" s="12" t="s">
        <v>20</v>
      </c>
      <c r="M8" s="18" t="s">
        <v>9</v>
      </c>
      <c r="N8" s="158"/>
      <c r="O8" s="55" t="s">
        <v>25</v>
      </c>
      <c r="P8" s="10" t="s">
        <v>14</v>
      </c>
      <c r="Q8" s="169"/>
    </row>
    <row r="9" spans="2:17" ht="17.399999999999999" x14ac:dyDescent="0.45">
      <c r="B9" s="32" t="s">
        <v>35</v>
      </c>
      <c r="C9" s="51" t="s">
        <v>40</v>
      </c>
      <c r="D9" s="34">
        <v>2.15</v>
      </c>
      <c r="E9" s="171" t="s">
        <v>41</v>
      </c>
      <c r="F9" s="56">
        <v>2019</v>
      </c>
      <c r="G9" s="43">
        <f>(M9/D12)^0.25</f>
        <v>287.48244814452283</v>
      </c>
      <c r="H9" s="44">
        <f>(K9/D12)^0.25</f>
        <v>254.57231333041116</v>
      </c>
      <c r="I9" s="20">
        <f>D7</f>
        <v>0.62629999999999997</v>
      </c>
      <c r="J9" s="20">
        <f>D11</f>
        <v>0.30006500000000003</v>
      </c>
      <c r="K9" s="21">
        <f>D8*(1-J9)</f>
        <v>238.15288375</v>
      </c>
      <c r="L9" s="23">
        <f>M9-K9</f>
        <v>149.15515109262503</v>
      </c>
      <c r="M9" s="24">
        <f>(1+D7)*K9</f>
        <v>387.30803484262503</v>
      </c>
      <c r="N9" s="158"/>
      <c r="O9" s="164">
        <f>G9-273.15</f>
        <v>14.332448144522857</v>
      </c>
      <c r="P9" s="159">
        <f>32+(O9)*9/5</f>
        <v>57.79840666014114</v>
      </c>
      <c r="Q9" s="170">
        <f>H9/G9</f>
        <v>0.88552297704948191</v>
      </c>
    </row>
    <row r="10" spans="2:17" ht="17.399999999999999" x14ac:dyDescent="0.45">
      <c r="B10" s="32" t="s">
        <v>1</v>
      </c>
      <c r="C10" s="52" t="s">
        <v>38</v>
      </c>
      <c r="D10" s="34">
        <v>0.30080000000000001</v>
      </c>
      <c r="E10" s="171" t="s">
        <v>41</v>
      </c>
      <c r="F10" s="57">
        <v>1950</v>
      </c>
      <c r="G10" s="45">
        <f>(M10/D12)^0.25</f>
        <v>287.03954014229083</v>
      </c>
      <c r="H10" s="38">
        <f>(K10/D12)^0.25</f>
        <v>254.50545555893055</v>
      </c>
      <c r="I10" s="39">
        <f>D6</f>
        <v>0.61799999999999999</v>
      </c>
      <c r="J10" s="39">
        <f>D10</f>
        <v>0.30080000000000001</v>
      </c>
      <c r="K10" s="22">
        <f>D8*(1-J10)</f>
        <v>237.90280000000001</v>
      </c>
      <c r="L10" s="22">
        <f>M10-K10</f>
        <v>147.02393039999998</v>
      </c>
      <c r="M10" s="25">
        <f>(1+D6)*K10</f>
        <v>384.9267304</v>
      </c>
      <c r="N10" s="158"/>
      <c r="O10" s="164">
        <f>G10-273.15</f>
        <v>13.889540142290855</v>
      </c>
      <c r="P10" s="159">
        <f>32+(G10-273.15)*9/5</f>
        <v>57.001172256123539</v>
      </c>
      <c r="Q10" s="170">
        <f>H10/G10</f>
        <v>0.8866564356700386</v>
      </c>
    </row>
    <row r="11" spans="2:17" ht="17.399999999999999" x14ac:dyDescent="0.45">
      <c r="B11" s="32" t="s">
        <v>28</v>
      </c>
      <c r="C11" s="52" t="s">
        <v>39</v>
      </c>
      <c r="D11" s="34">
        <v>0.30006500000000003</v>
      </c>
      <c r="E11" s="171" t="s">
        <v>41</v>
      </c>
      <c r="F11" s="57" t="s">
        <v>16</v>
      </c>
      <c r="G11" s="46">
        <f>G9-G10</f>
        <v>0.44290800223200222</v>
      </c>
      <c r="H11" s="40">
        <f>H9-H10</f>
        <v>6.6857771480613337E-2</v>
      </c>
      <c r="I11" s="26">
        <f>I9-I10</f>
        <v>8.2999999999999741E-3</v>
      </c>
      <c r="J11" s="27">
        <f>(J10-J9)/J10</f>
        <v>2.4434840425531438E-3</v>
      </c>
      <c r="K11" s="41">
        <f>K9-K10</f>
        <v>0.2500837499999875</v>
      </c>
      <c r="L11" s="42">
        <f>L9-L10</f>
        <v>2.1312206926250497</v>
      </c>
      <c r="M11" s="28">
        <f>M9-M10</f>
        <v>2.3813044426250372</v>
      </c>
      <c r="N11" s="158"/>
      <c r="O11" s="165">
        <f>O9-O10</f>
        <v>0.44290800223200222</v>
      </c>
      <c r="P11" s="160">
        <f>P9-P10</f>
        <v>0.79723440401760115</v>
      </c>
      <c r="Q11" s="74"/>
    </row>
    <row r="12" spans="2:17" ht="18" thickBot="1" x14ac:dyDescent="0.5">
      <c r="B12" s="33" t="s">
        <v>0</v>
      </c>
      <c r="C12" s="53" t="s">
        <v>37</v>
      </c>
      <c r="D12" s="35">
        <v>5.6703669999999997E-8</v>
      </c>
      <c r="E12" s="172" t="s">
        <v>41</v>
      </c>
      <c r="F12" s="58" t="s">
        <v>17</v>
      </c>
      <c r="G12" s="47">
        <f>G11*D9</f>
        <v>0.95225220479880468</v>
      </c>
      <c r="H12" s="48">
        <f>H11*D9</f>
        <v>0.14374420868331866</v>
      </c>
      <c r="I12" s="29" t="s">
        <v>18</v>
      </c>
      <c r="J12" s="29" t="s">
        <v>18</v>
      </c>
      <c r="K12" s="49">
        <f>K11*D9</f>
        <v>0.53768006249997313</v>
      </c>
      <c r="L12" s="50">
        <f>L11*D9</f>
        <v>4.5821244891438564</v>
      </c>
      <c r="M12" s="30">
        <f>M11*D9</f>
        <v>5.1198045516438295</v>
      </c>
      <c r="N12" s="144"/>
      <c r="O12" s="166">
        <f>D9*O11</f>
        <v>0.95225220479880468</v>
      </c>
      <c r="P12" s="162">
        <f>P11*D9</f>
        <v>1.7140539686378424</v>
      </c>
      <c r="Q12" s="82"/>
    </row>
    <row r="13" spans="2:17" x14ac:dyDescent="0.3">
      <c r="F13" s="1"/>
      <c r="G13" s="1"/>
      <c r="H13" s="1"/>
      <c r="I13" s="1"/>
      <c r="J13" s="1"/>
      <c r="K13" s="1"/>
      <c r="L13" s="1"/>
      <c r="M13" s="2"/>
    </row>
    <row r="14" spans="2:17" x14ac:dyDescent="0.3">
      <c r="N14" s="4"/>
      <c r="O14" s="161"/>
      <c r="P14" s="4"/>
      <c r="Q14" s="4"/>
    </row>
    <row r="15" spans="2:17" x14ac:dyDescent="0.3">
      <c r="C15" t="s">
        <v>44</v>
      </c>
      <c r="N15" s="4"/>
      <c r="O15" s="3"/>
      <c r="P15" s="5"/>
      <c r="Q15" s="4"/>
    </row>
    <row r="16" spans="2:17" ht="15" thickBot="1" x14ac:dyDescent="0.35">
      <c r="C16" t="s">
        <v>43</v>
      </c>
      <c r="N16" s="4"/>
      <c r="O16" s="5"/>
      <c r="P16" s="5"/>
      <c r="Q16" s="4"/>
    </row>
    <row r="17" spans="6:17" x14ac:dyDescent="0.3">
      <c r="F17" s="98" t="s">
        <v>48</v>
      </c>
      <c r="G17" s="65"/>
      <c r="H17" s="66"/>
      <c r="N17" s="4"/>
      <c r="O17" s="4"/>
      <c r="P17" s="4"/>
      <c r="Q17" s="4"/>
    </row>
    <row r="18" spans="6:17" x14ac:dyDescent="0.3">
      <c r="F18" s="68" t="s">
        <v>32</v>
      </c>
      <c r="G18" s="67" t="s">
        <v>47</v>
      </c>
      <c r="H18" s="69" t="s">
        <v>45</v>
      </c>
    </row>
    <row r="19" spans="6:17" ht="16.2" x14ac:dyDescent="0.3">
      <c r="F19" s="135" t="s">
        <v>49</v>
      </c>
      <c r="G19" s="139">
        <v>33</v>
      </c>
      <c r="H19" s="137">
        <f>G20*(273.15+G19)^4*D12</f>
        <v>498.13633769082605</v>
      </c>
    </row>
    <row r="20" spans="6:17" ht="15" thickBot="1" x14ac:dyDescent="0.35">
      <c r="F20" s="136" t="s">
        <v>46</v>
      </c>
      <c r="G20" s="140">
        <v>1</v>
      </c>
      <c r="H20" s="138"/>
    </row>
    <row r="21" spans="6:17" ht="15" thickBot="1" x14ac:dyDescent="0.35"/>
    <row r="22" spans="6:17" ht="16.2" thickBot="1" x14ac:dyDescent="0.35">
      <c r="F22" s="148" t="s">
        <v>67</v>
      </c>
      <c r="G22" s="153"/>
      <c r="H22" s="149"/>
      <c r="I22" s="149"/>
      <c r="J22" s="154"/>
    </row>
    <row r="23" spans="6:17" ht="16.2" x14ac:dyDescent="0.3">
      <c r="F23" s="72" t="s">
        <v>50</v>
      </c>
      <c r="G23" s="71"/>
      <c r="H23" s="146" t="s">
        <v>51</v>
      </c>
      <c r="I23" s="72" t="s">
        <v>52</v>
      </c>
      <c r="J23" s="71" t="s">
        <v>53</v>
      </c>
    </row>
    <row r="24" spans="6:17" ht="16.2" x14ac:dyDescent="0.3">
      <c r="F24" s="72" t="s">
        <v>23</v>
      </c>
      <c r="G24" s="71" t="s">
        <v>54</v>
      </c>
      <c r="H24" s="146" t="s">
        <v>55</v>
      </c>
      <c r="I24" s="72" t="s">
        <v>56</v>
      </c>
      <c r="J24" s="125" t="s">
        <v>92</v>
      </c>
    </row>
    <row r="25" spans="6:17" x14ac:dyDescent="0.3">
      <c r="F25" s="74"/>
      <c r="H25" s="143"/>
      <c r="I25" s="147"/>
      <c r="J25" s="142" t="s">
        <v>93</v>
      </c>
    </row>
    <row r="26" spans="6:17" ht="15" thickBot="1" x14ac:dyDescent="0.35">
      <c r="F26" s="82"/>
      <c r="G26" s="95" t="s">
        <v>50</v>
      </c>
      <c r="H26" s="144"/>
      <c r="I26" s="82"/>
      <c r="J26" s="125" t="str">
        <f>H29&amp;" PPM in "&amp;F29</f>
        <v>412 PPM in 2019</v>
      </c>
    </row>
    <row r="27" spans="6:17" x14ac:dyDescent="0.3">
      <c r="F27" s="75">
        <v>1950</v>
      </c>
      <c r="G27" s="76" t="s">
        <v>59</v>
      </c>
      <c r="H27" s="77">
        <v>311</v>
      </c>
      <c r="I27" s="145" t="s">
        <v>57</v>
      </c>
      <c r="J27" s="78" t="s">
        <v>61</v>
      </c>
    </row>
    <row r="28" spans="6:17" x14ac:dyDescent="0.3">
      <c r="F28" s="75">
        <v>1950</v>
      </c>
      <c r="G28" s="79" t="s">
        <v>65</v>
      </c>
      <c r="H28" s="80">
        <v>13.9</v>
      </c>
      <c r="I28" s="81">
        <v>13.9</v>
      </c>
      <c r="J28" s="96">
        <f>32+(H28*9/5)</f>
        <v>57.02</v>
      </c>
    </row>
    <row r="29" spans="6:17" x14ac:dyDescent="0.3">
      <c r="F29" s="75">
        <v>2019</v>
      </c>
      <c r="G29" s="79" t="s">
        <v>60</v>
      </c>
      <c r="H29" s="80">
        <v>412</v>
      </c>
      <c r="I29" s="81" t="s">
        <v>58</v>
      </c>
      <c r="J29" s="73" t="s">
        <v>64</v>
      </c>
    </row>
    <row r="30" spans="6:17" ht="15" thickBot="1" x14ac:dyDescent="0.35">
      <c r="F30" s="82"/>
      <c r="G30" s="83" t="s">
        <v>66</v>
      </c>
      <c r="H30" s="84">
        <v>2.5</v>
      </c>
      <c r="I30" s="85">
        <v>2.5</v>
      </c>
      <c r="J30" s="86">
        <f>J32-H28</f>
        <v>1.01432439263154</v>
      </c>
    </row>
    <row r="31" spans="6:17" x14ac:dyDescent="0.3">
      <c r="G31" s="87"/>
      <c r="H31" s="88"/>
      <c r="I31" s="89"/>
      <c r="J31" s="73" t="s">
        <v>94</v>
      </c>
    </row>
    <row r="32" spans="6:17" x14ac:dyDescent="0.3">
      <c r="F32" s="4"/>
      <c r="G32" s="90"/>
      <c r="H32" s="88"/>
      <c r="I32" s="91"/>
      <c r="J32" s="86">
        <f>H28+(H30*LN(H29/H27))/LN(2)</f>
        <v>14.91432439263154</v>
      </c>
    </row>
    <row r="33" spans="6:10" x14ac:dyDescent="0.3">
      <c r="F33" s="4"/>
      <c r="G33" s="90"/>
      <c r="H33" s="88"/>
      <c r="I33" s="91"/>
      <c r="J33" s="73" t="s">
        <v>63</v>
      </c>
    </row>
    <row r="34" spans="6:10" x14ac:dyDescent="0.3">
      <c r="F34" s="4"/>
      <c r="G34" s="90"/>
      <c r="H34" s="88"/>
      <c r="I34" s="91"/>
      <c r="J34" s="86">
        <f>32+(J32*9/5)</f>
        <v>58.84578390673677</v>
      </c>
    </row>
    <row r="35" spans="6:10" x14ac:dyDescent="0.3">
      <c r="F35" s="4"/>
      <c r="G35" s="92"/>
      <c r="H35" s="88"/>
      <c r="I35" s="93"/>
      <c r="J35" s="94" t="s">
        <v>62</v>
      </c>
    </row>
    <row r="36" spans="6:10" ht="15" thickBot="1" x14ac:dyDescent="0.35">
      <c r="F36" s="4"/>
      <c r="G36" s="92"/>
      <c r="H36" s="88"/>
      <c r="I36" s="93"/>
      <c r="J36" s="97">
        <f>J34-J28</f>
        <v>1.8257839067367669</v>
      </c>
    </row>
    <row r="37" spans="6:10" ht="15" thickBot="1" x14ac:dyDescent="0.35"/>
    <row r="38" spans="6:10" ht="20.399999999999999" thickBot="1" x14ac:dyDescent="0.35">
      <c r="F38" s="148" t="s">
        <v>95</v>
      </c>
      <c r="G38" s="149"/>
      <c r="H38" s="150"/>
      <c r="I38" s="151"/>
      <c r="J38" s="152"/>
    </row>
    <row r="39" spans="6:10" x14ac:dyDescent="0.3">
      <c r="F39" s="78" t="s">
        <v>68</v>
      </c>
      <c r="G39" s="99" t="s">
        <v>50</v>
      </c>
      <c r="H39" s="100" t="s">
        <v>69</v>
      </c>
      <c r="I39" s="99" t="s">
        <v>70</v>
      </c>
      <c r="J39" s="101" t="s">
        <v>5</v>
      </c>
    </row>
    <row r="40" spans="6:10" ht="16.2" x14ac:dyDescent="0.3">
      <c r="F40" s="102" t="s">
        <v>71</v>
      </c>
      <c r="G40" s="103">
        <v>1000</v>
      </c>
      <c r="H40" s="104" t="s">
        <v>72</v>
      </c>
      <c r="I40" s="105" t="s">
        <v>72</v>
      </c>
      <c r="J40" s="106" t="s">
        <v>72</v>
      </c>
    </row>
    <row r="41" spans="6:10" x14ac:dyDescent="0.3">
      <c r="F41" s="102" t="s">
        <v>73</v>
      </c>
      <c r="G41" s="103">
        <v>1</v>
      </c>
      <c r="H41" s="107">
        <f>(1-G42)*G41*G40</f>
        <v>600</v>
      </c>
      <c r="I41" s="108">
        <f>H41/G41</f>
        <v>600</v>
      </c>
      <c r="J41" s="109" t="str">
        <f>ROUND((I41/0.00000005670367)^0.25,4)&amp;" K"</f>
        <v>320.7266 K</v>
      </c>
    </row>
    <row r="42" spans="6:10" ht="16.2" x14ac:dyDescent="0.3">
      <c r="F42" s="102" t="s">
        <v>74</v>
      </c>
      <c r="G42" s="103">
        <v>0.4</v>
      </c>
      <c r="H42" s="104" t="s">
        <v>75</v>
      </c>
      <c r="I42" s="105" t="s">
        <v>75</v>
      </c>
      <c r="J42" s="109" t="str">
        <f>ROUND((I41/0.00000005670367)^0.25-273.15,4)&amp;" C"</f>
        <v>47.5766 C</v>
      </c>
    </row>
    <row r="43" spans="6:10" ht="16.2" x14ac:dyDescent="0.3">
      <c r="F43" s="102" t="s">
        <v>76</v>
      </c>
      <c r="G43" s="103">
        <v>1</v>
      </c>
      <c r="H43" s="107">
        <f>(1-G44)*G43*G40</f>
        <v>950</v>
      </c>
      <c r="I43" s="108">
        <f>H43/G43</f>
        <v>950</v>
      </c>
      <c r="J43" s="106" t="s">
        <v>75</v>
      </c>
    </row>
    <row r="44" spans="6:10" ht="16.8" thickBot="1" x14ac:dyDescent="0.35">
      <c r="F44" s="110" t="s">
        <v>77</v>
      </c>
      <c r="G44" s="111">
        <v>0.05</v>
      </c>
      <c r="H44" s="112"/>
      <c r="I44" s="113"/>
      <c r="J44" s="109" t="str">
        <f>ROUND((I43/0.00000005670367)^0.25,4)&amp;" K"</f>
        <v>359.7726 K</v>
      </c>
    </row>
    <row r="45" spans="6:10" ht="15" thickBot="1" x14ac:dyDescent="0.35">
      <c r="H45" s="1"/>
      <c r="I45" s="1"/>
      <c r="J45" s="114" t="str">
        <f>ROUND((I43/0.00000005670367)^0.25-273.15,4)&amp;" C"</f>
        <v>86.6226 C</v>
      </c>
    </row>
    <row r="46" spans="6:10" ht="15" thickBot="1" x14ac:dyDescent="0.35">
      <c r="H46" s="1"/>
      <c r="I46" s="1"/>
      <c r="J46" s="1"/>
    </row>
    <row r="47" spans="6:10" ht="20.399999999999999" thickBot="1" x14ac:dyDescent="0.35">
      <c r="F47" s="148" t="s">
        <v>78</v>
      </c>
      <c r="G47" s="151"/>
      <c r="H47" s="151"/>
      <c r="I47" s="151"/>
      <c r="J47" s="152"/>
    </row>
    <row r="48" spans="6:10" ht="16.2" x14ac:dyDescent="0.3">
      <c r="F48" s="70" t="s">
        <v>50</v>
      </c>
      <c r="G48" s="70" t="s">
        <v>51</v>
      </c>
      <c r="H48" s="115" t="s">
        <v>79</v>
      </c>
      <c r="I48" s="115" t="s">
        <v>90</v>
      </c>
      <c r="J48" s="116" t="s">
        <v>53</v>
      </c>
    </row>
    <row r="49" spans="6:10" ht="16.8" thickBot="1" x14ac:dyDescent="0.35">
      <c r="F49" s="72" t="s">
        <v>54</v>
      </c>
      <c r="G49" s="72" t="s">
        <v>55</v>
      </c>
      <c r="H49" s="71" t="s">
        <v>56</v>
      </c>
      <c r="I49" s="71" t="s">
        <v>80</v>
      </c>
      <c r="J49" s="117"/>
    </row>
    <row r="50" spans="6:10" ht="15" thickBot="1" x14ac:dyDescent="0.35">
      <c r="F50" s="118"/>
      <c r="G50" s="119"/>
      <c r="H50" s="120"/>
      <c r="I50" s="120"/>
      <c r="J50" s="121" t="s">
        <v>81</v>
      </c>
    </row>
    <row r="51" spans="6:10" x14ac:dyDescent="0.3">
      <c r="F51" s="122" t="s">
        <v>91</v>
      </c>
      <c r="G51" s="103">
        <v>24.7</v>
      </c>
      <c r="H51" s="123" t="s">
        <v>82</v>
      </c>
      <c r="I51" s="124">
        <f>32+(G51*9/5)</f>
        <v>76.459999999999994</v>
      </c>
      <c r="J51" s="125" t="s">
        <v>83</v>
      </c>
    </row>
    <row r="52" spans="6:10" ht="15" thickBot="1" x14ac:dyDescent="0.35">
      <c r="F52" s="126" t="s">
        <v>84</v>
      </c>
      <c r="G52" s="111">
        <v>60</v>
      </c>
      <c r="H52" s="127" t="s">
        <v>85</v>
      </c>
      <c r="I52" s="128">
        <f>32+(G52*9/5)</f>
        <v>140</v>
      </c>
      <c r="J52" s="125" t="s">
        <v>86</v>
      </c>
    </row>
    <row r="53" spans="6:10" ht="16.2" thickBot="1" x14ac:dyDescent="0.35">
      <c r="F53" s="129" t="s">
        <v>87</v>
      </c>
      <c r="H53" s="4"/>
      <c r="I53" s="133" t="s">
        <v>88</v>
      </c>
      <c r="J53" s="130">
        <f>(EXP((-I55/462)*((1/(G51+273.15))-(1/(G52+273.15)))))*100</f>
        <v>15.251635338940636</v>
      </c>
    </row>
    <row r="54" spans="6:10" x14ac:dyDescent="0.3">
      <c r="H54" s="131"/>
      <c r="I54" s="134" t="s">
        <v>89</v>
      </c>
    </row>
    <row r="55" spans="6:10" ht="15" thickBot="1" x14ac:dyDescent="0.35">
      <c r="I55" s="132">
        <f>(-0.00002*G51^3+0.0012*G51^2-2.4077*G51+2501.2)*1000</f>
        <v>2442160.5335399997</v>
      </c>
    </row>
  </sheetData>
  <conditionalFormatting sqref="J29:J34 G32:G36 F27:F29 H27:H36 I27:I34 F22:J24 J26:J27 H25:I25 G26:G30">
    <cfRule type="expression" dxfId="4" priority="5" stopIfTrue="1">
      <formula>$M$1&lt;&gt;$N$1</formula>
    </cfRule>
  </conditionalFormatting>
  <conditionalFormatting sqref="G31">
    <cfRule type="expression" dxfId="3" priority="4" stopIfTrue="1">
      <formula>$K$1&lt;&gt;$L$1</formula>
    </cfRule>
  </conditionalFormatting>
  <conditionalFormatting sqref="F38:J38">
    <cfRule type="expression" dxfId="2" priority="3" stopIfTrue="1">
      <formula>$M$1&lt;&gt;$N$1</formula>
    </cfRule>
  </conditionalFormatting>
  <conditionalFormatting sqref="F53 J47:J53 F47:I52 H54 I53 I55">
    <cfRule type="expression" dxfId="1" priority="2" stopIfTrue="1">
      <formula>$K$1&lt;&gt;$L$1</formula>
    </cfRule>
  </conditionalFormatting>
  <conditionalFormatting sqref="G19:G20">
    <cfRule type="expression" dxfId="0" priority="1" stopIfTrue="1">
      <formula>$M$1&lt;&gt;$N$1</formula>
    </cfRule>
  </conditionalFormatting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GMEEB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</dc:creator>
  <cp:lastModifiedBy>Alec</cp:lastModifiedBy>
  <dcterms:created xsi:type="dcterms:W3CDTF">2020-07-11T16:05:17Z</dcterms:created>
  <dcterms:modified xsi:type="dcterms:W3CDTF">2021-01-02T17:59:39Z</dcterms:modified>
</cp:coreProperties>
</file>